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_\Documents\"/>
    </mc:Choice>
  </mc:AlternateContent>
  <xr:revisionPtr revIDLastSave="0" documentId="13_ncr:1_{93102ADD-82A1-4854-BB4B-AA682B40F71D}" xr6:coauthVersionLast="47" xr6:coauthVersionMax="47" xr10:uidLastSave="{00000000-0000-0000-0000-000000000000}"/>
  <bookViews>
    <workbookView xWindow="-120" yWindow="-120" windowWidth="20730" windowHeight="11160" xr2:uid="{7B4D2AA9-DBE5-40AD-A756-0E396DAE0D7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" i="1" l="1"/>
  <c r="B7" i="1"/>
  <c r="A7" i="1"/>
  <c r="U60" i="1"/>
  <c r="B60" i="1"/>
  <c r="A60" i="1"/>
  <c r="U36" i="1"/>
  <c r="B36" i="1"/>
  <c r="A36" i="1"/>
  <c r="U14" i="1"/>
  <c r="U57" i="1"/>
  <c r="U32" i="1"/>
  <c r="U30" i="1"/>
  <c r="U8" i="1"/>
  <c r="U43" i="1"/>
  <c r="U63" i="1"/>
  <c r="U31" i="1"/>
  <c r="U53" i="1"/>
  <c r="U50" i="1"/>
  <c r="U11" i="1"/>
  <c r="U26" i="1"/>
  <c r="U17" i="1"/>
  <c r="U48" i="1"/>
  <c r="U39" i="1"/>
  <c r="U20" i="1"/>
  <c r="U15" i="1"/>
  <c r="U23" i="1"/>
  <c r="U9" i="1"/>
  <c r="U27" i="1"/>
  <c r="U54" i="1"/>
  <c r="U35" i="1"/>
  <c r="U29" i="1"/>
  <c r="U42" i="1"/>
  <c r="U44" i="1"/>
  <c r="U13" i="1"/>
  <c r="U10" i="1"/>
  <c r="U56" i="1"/>
  <c r="U28" i="1"/>
  <c r="U52" i="1"/>
  <c r="U58" i="1"/>
  <c r="U16" i="1"/>
  <c r="U46" i="1"/>
  <c r="U40" i="1"/>
  <c r="U22" i="1"/>
  <c r="U49" i="1"/>
  <c r="U55" i="1"/>
  <c r="U12" i="1"/>
  <c r="U38" i="1"/>
  <c r="B14" i="1"/>
  <c r="A14" i="1"/>
  <c r="B24" i="1"/>
  <c r="A24" i="1"/>
  <c r="B57" i="1"/>
  <c r="A57" i="1"/>
  <c r="B32" i="1"/>
  <c r="A32" i="1"/>
  <c r="B30" i="1"/>
  <c r="A30" i="1"/>
  <c r="B8" i="1"/>
  <c r="A8" i="1"/>
  <c r="B33" i="1"/>
  <c r="A33" i="1"/>
  <c r="B61" i="1"/>
  <c r="A61" i="1"/>
  <c r="B43" i="1"/>
  <c r="A43" i="1"/>
  <c r="B63" i="1"/>
  <c r="A63" i="1"/>
  <c r="B31" i="1"/>
  <c r="A31" i="1"/>
  <c r="B53" i="1"/>
  <c r="A53" i="1"/>
  <c r="B50" i="1"/>
  <c r="A50" i="1"/>
  <c r="B11" i="1"/>
  <c r="A11" i="1"/>
  <c r="B26" i="1"/>
  <c r="A26" i="1"/>
  <c r="B17" i="1"/>
  <c r="A17" i="1"/>
  <c r="B48" i="1"/>
  <c r="A48" i="1"/>
  <c r="B39" i="1"/>
  <c r="A39" i="1"/>
  <c r="B20" i="1"/>
  <c r="A20" i="1"/>
  <c r="B15" i="1"/>
  <c r="A15" i="1"/>
  <c r="B23" i="1"/>
  <c r="A23" i="1"/>
  <c r="B9" i="1"/>
  <c r="A9" i="1"/>
  <c r="B27" i="1"/>
  <c r="A27" i="1"/>
  <c r="B54" i="1"/>
  <c r="A54" i="1"/>
  <c r="B18" i="1"/>
  <c r="A18" i="1"/>
  <c r="B35" i="1"/>
  <c r="A35" i="1"/>
  <c r="B29" i="1"/>
  <c r="A29" i="1"/>
  <c r="B42" i="1"/>
  <c r="A42" i="1"/>
  <c r="B44" i="1"/>
  <c r="A44" i="1"/>
  <c r="B13" i="1"/>
  <c r="A13" i="1"/>
  <c r="B10" i="1"/>
  <c r="A10" i="1"/>
  <c r="B56" i="1"/>
  <c r="A56" i="1"/>
  <c r="B28" i="1"/>
  <c r="A28" i="1"/>
  <c r="B52" i="1"/>
  <c r="A52" i="1"/>
  <c r="B58" i="1"/>
  <c r="A58" i="1"/>
  <c r="B16" i="1"/>
  <c r="A16" i="1"/>
  <c r="B46" i="1"/>
  <c r="A46" i="1"/>
  <c r="B40" i="1"/>
  <c r="A40" i="1"/>
  <c r="B22" i="1"/>
  <c r="A22" i="1"/>
  <c r="B49" i="1"/>
  <c r="A49" i="1"/>
  <c r="B55" i="1"/>
  <c r="A55" i="1"/>
  <c r="B12" i="1"/>
  <c r="A12" i="1"/>
  <c r="B38" i="1"/>
  <c r="A38" i="1"/>
</calcChain>
</file>

<file path=xl/sharedStrings.xml><?xml version="1.0" encoding="utf-8"?>
<sst xmlns="http://schemas.openxmlformats.org/spreadsheetml/2006/main" count="375" uniqueCount="180">
  <si>
    <t>Waltham Chase Trials MCC</t>
  </si>
  <si>
    <t>Saturday 11th September at Ham Lane, Langrish</t>
  </si>
  <si>
    <t>Permit - ACU 61329</t>
  </si>
  <si>
    <t>No.</t>
  </si>
  <si>
    <t>ACU No.</t>
  </si>
  <si>
    <t>Name</t>
  </si>
  <si>
    <t>Class</t>
  </si>
  <si>
    <t>Route</t>
  </si>
  <si>
    <t>Machine</t>
  </si>
  <si>
    <t>Club</t>
  </si>
  <si>
    <t>George</t>
  </si>
  <si>
    <t>Greenland</t>
  </si>
  <si>
    <t>Pre65 D</t>
  </si>
  <si>
    <t>BSA Bantam 175</t>
  </si>
  <si>
    <t>Max</t>
  </si>
  <si>
    <t>Bird</t>
  </si>
  <si>
    <t>Clubman</t>
  </si>
  <si>
    <t>TRS ONE 250</t>
  </si>
  <si>
    <t>Thames MCC</t>
  </si>
  <si>
    <t>Colin</t>
  </si>
  <si>
    <t>Mew</t>
  </si>
  <si>
    <t>Veteran</t>
  </si>
  <si>
    <t>White</t>
  </si>
  <si>
    <t>TRS 250</t>
  </si>
  <si>
    <t>Parker</t>
  </si>
  <si>
    <t>Twin Shock D</t>
  </si>
  <si>
    <t>Fantic 156</t>
  </si>
  <si>
    <t>Thomas</t>
  </si>
  <si>
    <t>Moss</t>
  </si>
  <si>
    <t>Expert</t>
  </si>
  <si>
    <t>Honda MRT 300</t>
  </si>
  <si>
    <t>Andy</t>
  </si>
  <si>
    <t>Withers</t>
  </si>
  <si>
    <t>BSA B40</t>
  </si>
  <si>
    <t>XHG Tiger MCC Ltd</t>
  </si>
  <si>
    <t>Billingham</t>
  </si>
  <si>
    <t>Twin Shock C</t>
  </si>
  <si>
    <t>Yamaha Majesty</t>
  </si>
  <si>
    <t>Jonathan</t>
  </si>
  <si>
    <t>Bathe</t>
  </si>
  <si>
    <t>Beta Evo 4T 300</t>
  </si>
  <si>
    <t>Swindon &amp; District MCC</t>
  </si>
  <si>
    <t>Michael</t>
  </si>
  <si>
    <t>Machinek</t>
  </si>
  <si>
    <t>Graham</t>
  </si>
  <si>
    <t>Butt</t>
  </si>
  <si>
    <t>TRS RR 250</t>
  </si>
  <si>
    <t>Trevor</t>
  </si>
  <si>
    <t>Gatrell</t>
  </si>
  <si>
    <t>Sherco 300</t>
  </si>
  <si>
    <t>Ian</t>
  </si>
  <si>
    <t>Ballard</t>
  </si>
  <si>
    <t>Novice</t>
  </si>
  <si>
    <t>Beta 4T 250</t>
  </si>
  <si>
    <t>David</t>
  </si>
  <si>
    <t>Clubman Expert</t>
  </si>
  <si>
    <t>Red/Green</t>
  </si>
  <si>
    <t>Honda RTL 250</t>
  </si>
  <si>
    <t>Richard</t>
  </si>
  <si>
    <t>Harris</t>
  </si>
  <si>
    <t>Honda 260</t>
  </si>
  <si>
    <t>Hinton</t>
  </si>
  <si>
    <t>Vertigo 250</t>
  </si>
  <si>
    <t>Peter</t>
  </si>
  <si>
    <t>Gas Gas 300</t>
  </si>
  <si>
    <t>Ringwood MC &amp; LCC</t>
  </si>
  <si>
    <t>Tony</t>
  </si>
  <si>
    <t>Roberts</t>
  </si>
  <si>
    <t>Sportsman</t>
  </si>
  <si>
    <t>Duncan</t>
  </si>
  <si>
    <t>Wood</t>
  </si>
  <si>
    <t>Scorpa Factory 300</t>
  </si>
  <si>
    <t>Waterside MCC</t>
  </si>
  <si>
    <t>James</t>
  </si>
  <si>
    <t>Jarrett</t>
  </si>
  <si>
    <t>Beta Rev 3 270</t>
  </si>
  <si>
    <t>Bob</t>
  </si>
  <si>
    <t>Hampton</t>
  </si>
  <si>
    <t>Pre 65 C</t>
  </si>
  <si>
    <t>BSA Bantam 185</t>
  </si>
  <si>
    <t>Reynard</t>
  </si>
  <si>
    <t>Norris</t>
  </si>
  <si>
    <t>Beta Evo 250</t>
  </si>
  <si>
    <t>North Berks. MCC</t>
  </si>
  <si>
    <t>Mick</t>
  </si>
  <si>
    <t>Treagus</t>
  </si>
  <si>
    <t>Gas Gas TXT 300</t>
  </si>
  <si>
    <t>Bognor Regis &amp; District MCC Ltd</t>
  </si>
  <si>
    <t>John</t>
  </si>
  <si>
    <t>Emery</t>
  </si>
  <si>
    <t>Gas Gas 125</t>
  </si>
  <si>
    <t>Sam</t>
  </si>
  <si>
    <t>Wildman</t>
  </si>
  <si>
    <t>Youth C</t>
  </si>
  <si>
    <t>Oset</t>
  </si>
  <si>
    <t>Penton</t>
  </si>
  <si>
    <t>Beta 125</t>
  </si>
  <si>
    <t>Bridport &amp; Weymouth MCC</t>
  </si>
  <si>
    <t>Copp</t>
  </si>
  <si>
    <t>Martin</t>
  </si>
  <si>
    <t>Bartlett</t>
  </si>
  <si>
    <t>Marshall</t>
  </si>
  <si>
    <t>Gas Gas 250</t>
  </si>
  <si>
    <t>Robert</t>
  </si>
  <si>
    <t>Hartwell</t>
  </si>
  <si>
    <t>Francis Barnett Falcon</t>
  </si>
  <si>
    <t>Stephen</t>
  </si>
  <si>
    <t>Broadbent</t>
  </si>
  <si>
    <t>SWM 280</t>
  </si>
  <si>
    <t>Attwood</t>
  </si>
  <si>
    <t>Beta Evo 300</t>
  </si>
  <si>
    <t>Chris</t>
  </si>
  <si>
    <t>Neville</t>
  </si>
  <si>
    <t>Sunbeam Motor Cycle Club Ltd</t>
  </si>
  <si>
    <t>Tim</t>
  </si>
  <si>
    <t>Steve</t>
  </si>
  <si>
    <t>Leigh</t>
  </si>
  <si>
    <t>Montesa Cota</t>
  </si>
  <si>
    <t>Privett</t>
  </si>
  <si>
    <t>Beta Evo Factory 300</t>
  </si>
  <si>
    <t>Philip</t>
  </si>
  <si>
    <t>Whitlock</t>
  </si>
  <si>
    <t>Gas Gas TXT 125</t>
  </si>
  <si>
    <t>Theo</t>
  </si>
  <si>
    <t>Lanham</t>
  </si>
  <si>
    <t>Greg</t>
  </si>
  <si>
    <t>Seymour</t>
  </si>
  <si>
    <t>Archie</t>
  </si>
  <si>
    <t>Bradley</t>
  </si>
  <si>
    <t>Beta Evo 125</t>
  </si>
  <si>
    <t>Simon</t>
  </si>
  <si>
    <t xml:space="preserve"> </t>
  </si>
  <si>
    <t>Montesa Cota 315</t>
  </si>
  <si>
    <t>Daniel</t>
  </si>
  <si>
    <t>Hanslip</t>
  </si>
  <si>
    <t>Sherco ST300</t>
  </si>
  <si>
    <t>Nick</t>
  </si>
  <si>
    <t>Fox</t>
  </si>
  <si>
    <t>Webb</t>
  </si>
  <si>
    <t>Sherco 250</t>
  </si>
  <si>
    <t>Dave</t>
  </si>
  <si>
    <t>Bull</t>
  </si>
  <si>
    <t>Montesa 301 RR</t>
  </si>
  <si>
    <t>Patrick</t>
  </si>
  <si>
    <t>Seaman</t>
  </si>
  <si>
    <t>Montessa 300</t>
  </si>
  <si>
    <t>Results - The Alan Sansom Trophy Trial 2021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</si>
  <si>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</si>
  <si>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</si>
  <si>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</si>
  <si>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</si>
  <si>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</si>
  <si>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</si>
  <si>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</si>
  <si>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</si>
  <si>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</si>
  <si>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</si>
  <si>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</si>
  <si>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</si>
  <si>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Total</t>
  </si>
  <si>
    <t>Pos.</t>
  </si>
  <si>
    <t>Youth D</t>
  </si>
  <si>
    <t>Geoff</t>
  </si>
  <si>
    <t>DNF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</si>
  <si>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</si>
  <si>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</si>
  <si>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</si>
  <si>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</si>
  <si>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</si>
  <si>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</si>
  <si>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</si>
  <si>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</si>
  <si>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</si>
  <si>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</si>
  <si>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Mik</t>
  </si>
  <si>
    <t>Wasp BSA</t>
  </si>
  <si>
    <t>Tom</t>
  </si>
  <si>
    <t>11th</t>
  </si>
  <si>
    <t>27 Cleans</t>
  </si>
  <si>
    <t>26 Cleans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</si>
</sst>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3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/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45164-48A0-40CA-BE5A-8F4319C3ADCF}">
  <dimension ref="A1:W63"/>
  <sheetViews>
    <sheetView tabSelected="1" workbookViewId="0">
      <selection activeCell="X13" sqref="X13"/>
    </sheetView>
  </sheetViews>
  <sheetFormatPr defaultRowHeight="15" x14ac:dyDescent="0.25"/>
  <cols>
    <col min="1" max="1" width="7" style="1" customWidth="1"/>
    <col min="2" max="2" width="11.42578125" style="10" customWidth="1"/>
    <col min="3" max="3" width="9" bestFit="1" customWidth="1"/>
    <col min="4" max="4" width="12.140625" customWidth="1"/>
    <col min="5" max="5" width="13.42578125" customWidth="1"/>
    <col min="6" max="6" width="14.5703125" style="10" hidden="1" customWidth="1"/>
    <col min="7" max="7" width="19.42578125" hidden="1" customWidth="1"/>
    <col min="8" max="8" width="29.28515625" hidden="1" customWidth="1"/>
    <col min="9" max="20" width="6.7109375" style="10" customWidth="1"/>
    <col min="21" max="22" width="9.140625" style="10"/>
  </cols>
  <sheetData>
    <row r="1" spans="1:23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3" x14ac:dyDescent="0.25">
      <c r="A2" s="22" t="s">
        <v>146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pans="1:23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spans="1:23" x14ac:dyDescent="0.2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</row>
    <row r="5" spans="1:23" x14ac:dyDescent="0.25">
      <c r="B5" s="1"/>
      <c r="C5" s="1"/>
      <c r="D5" s="1"/>
      <c r="E5" s="1"/>
      <c r="F5" s="1"/>
      <c r="G5" s="1"/>
      <c r="H5" s="1"/>
    </row>
    <row r="6" spans="1:23" s="16" customFormat="1" x14ac:dyDescent="0.25">
      <c r="A6" s="13" t="s">
        <v>3</v>
      </c>
      <c r="B6" s="13" t="s">
        <v>4</v>
      </c>
      <c r="C6" s="21" t="s">
        <v>5</v>
      </c>
      <c r="D6" s="21"/>
      <c r="E6" s="13" t="s">
        <v>6</v>
      </c>
      <c r="F6" s="13" t="s">
        <v>7</v>
      </c>
      <c r="G6" s="13" t="s">
        <v>8</v>
      </c>
      <c r="H6" s="14" t="s">
        <v>9</v>
      </c>
      <c r="I6" s="15" t="s">
        <v>147</v>
      </c>
      <c r="J6" s="15" t="s">
        <v>148</v>
      </c>
      <c r="K6" s="15" t="s">
        <v>149</v>
      </c>
      <c r="L6" s="15" t="s">
        <v>150</v>
      </c>
      <c r="M6" s="15" t="s">
        <v>151</v>
      </c>
      <c r="N6" s="15" t="s">
        <v>152</v>
      </c>
      <c r="O6" s="15" t="s">
        <v>153</v>
      </c>
      <c r="P6" s="15" t="s">
        <v>154</v>
      </c>
      <c r="Q6" s="15" t="s">
        <v>155</v>
      </c>
      <c r="R6" s="15" t="s">
        <v>156</v>
      </c>
      <c r="S6" s="15" t="s">
        <v>157</v>
      </c>
      <c r="T6" s="15" t="s">
        <v>158</v>
      </c>
      <c r="U6" s="15" t="s">
        <v>159</v>
      </c>
      <c r="V6" s="15" t="s">
        <v>160</v>
      </c>
    </row>
    <row r="7" spans="1:23" x14ac:dyDescent="0.25">
      <c r="A7" s="18" t="str">
        <f>("95")</f>
        <v>95</v>
      </c>
      <c r="B7" s="5" t="str">
        <f>("57625")</f>
        <v>57625</v>
      </c>
      <c r="C7" s="6" t="s">
        <v>54</v>
      </c>
      <c r="D7" s="6" t="s">
        <v>39</v>
      </c>
      <c r="E7" s="6" t="s">
        <v>16</v>
      </c>
      <c r="F7" s="9" t="s">
        <v>56</v>
      </c>
      <c r="G7" s="6" t="s">
        <v>57</v>
      </c>
      <c r="H7" s="12" t="s">
        <v>41</v>
      </c>
      <c r="I7" s="2">
        <v>1</v>
      </c>
      <c r="J7" s="2">
        <v>0</v>
      </c>
      <c r="K7" s="2">
        <v>2</v>
      </c>
      <c r="L7" s="2">
        <v>0</v>
      </c>
      <c r="M7" s="2">
        <v>6</v>
      </c>
      <c r="N7" s="2">
        <v>0</v>
      </c>
      <c r="O7" s="2">
        <v>1</v>
      </c>
      <c r="P7" s="2">
        <v>0</v>
      </c>
      <c r="Q7" s="2">
        <v>0</v>
      </c>
      <c r="R7" s="2">
        <v>3</v>
      </c>
      <c r="S7" s="2">
        <v>0</v>
      </c>
      <c r="T7" s="2">
        <v>0</v>
      </c>
      <c r="U7" s="2">
        <f t="shared" ref="U7" si="0">SUM(I7:T7)</f>
        <v>13</v>
      </c>
      <c r="V7" s="2" t="s">
        <v>164</v>
      </c>
      <c r="W7" t="s">
        <v>178</v>
      </c>
    </row>
    <row r="8" spans="1:23" x14ac:dyDescent="0.25">
      <c r="A8" s="17" t="str">
        <f>("420")</f>
        <v>420</v>
      </c>
      <c r="B8" s="3" t="str">
        <f>("164717")</f>
        <v>164717</v>
      </c>
      <c r="C8" s="4" t="s">
        <v>133</v>
      </c>
      <c r="D8" s="4" t="s">
        <v>134</v>
      </c>
      <c r="E8" s="4" t="s">
        <v>16</v>
      </c>
      <c r="F8" s="19"/>
      <c r="G8" s="4" t="s">
        <v>135</v>
      </c>
      <c r="H8" s="11" t="s">
        <v>0</v>
      </c>
      <c r="I8" s="2">
        <v>4</v>
      </c>
      <c r="J8" s="2">
        <v>4</v>
      </c>
      <c r="K8" s="2">
        <v>1</v>
      </c>
      <c r="L8" s="2">
        <v>1</v>
      </c>
      <c r="M8" s="2">
        <v>0</v>
      </c>
      <c r="N8" s="2">
        <v>2</v>
      </c>
      <c r="O8" s="2">
        <v>1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f t="shared" ref="U8:U17" si="1">SUM(I8:T8)</f>
        <v>13</v>
      </c>
      <c r="V8" s="2" t="s">
        <v>165</v>
      </c>
      <c r="W8" t="s">
        <v>179</v>
      </c>
    </row>
    <row r="9" spans="1:23" x14ac:dyDescent="0.25">
      <c r="A9" s="18" t="str">
        <f>("249")</f>
        <v>249</v>
      </c>
      <c r="B9" s="5" t="str">
        <f>("74864")</f>
        <v>74864</v>
      </c>
      <c r="C9" s="6" t="s">
        <v>63</v>
      </c>
      <c r="D9" s="6" t="s">
        <v>95</v>
      </c>
      <c r="E9" s="6" t="s">
        <v>16</v>
      </c>
      <c r="F9" s="7"/>
      <c r="G9" s="6" t="s">
        <v>96</v>
      </c>
      <c r="H9" s="12" t="s">
        <v>97</v>
      </c>
      <c r="I9" s="2">
        <v>1</v>
      </c>
      <c r="J9" s="2">
        <v>3</v>
      </c>
      <c r="K9" s="2">
        <v>7</v>
      </c>
      <c r="L9" s="2">
        <v>6</v>
      </c>
      <c r="M9" s="2">
        <v>6</v>
      </c>
      <c r="N9" s="2">
        <v>1</v>
      </c>
      <c r="O9" s="2">
        <v>1</v>
      </c>
      <c r="P9" s="2">
        <v>7</v>
      </c>
      <c r="Q9" s="2">
        <v>1</v>
      </c>
      <c r="R9" s="2">
        <v>8</v>
      </c>
      <c r="S9" s="2">
        <v>0</v>
      </c>
      <c r="T9" s="2">
        <v>0</v>
      </c>
      <c r="U9" s="2">
        <f t="shared" si="1"/>
        <v>41</v>
      </c>
      <c r="V9" s="2" t="s">
        <v>166</v>
      </c>
    </row>
    <row r="10" spans="1:23" x14ac:dyDescent="0.25">
      <c r="A10" s="18" t="str">
        <f>("109")</f>
        <v>109</v>
      </c>
      <c r="B10" s="5" t="str">
        <f>("198403")</f>
        <v>198403</v>
      </c>
      <c r="C10" s="6" t="s">
        <v>42</v>
      </c>
      <c r="D10" s="6" t="s">
        <v>61</v>
      </c>
      <c r="E10" s="6" t="s">
        <v>16</v>
      </c>
      <c r="F10" s="7"/>
      <c r="G10" s="6" t="s">
        <v>62</v>
      </c>
      <c r="H10" s="12" t="s">
        <v>34</v>
      </c>
      <c r="I10" s="2">
        <v>5</v>
      </c>
      <c r="J10" s="2">
        <v>5</v>
      </c>
      <c r="K10" s="2">
        <v>7</v>
      </c>
      <c r="L10" s="2">
        <v>7</v>
      </c>
      <c r="M10" s="2">
        <v>3</v>
      </c>
      <c r="N10" s="2">
        <v>4</v>
      </c>
      <c r="O10" s="2">
        <v>0</v>
      </c>
      <c r="P10" s="2">
        <v>3</v>
      </c>
      <c r="Q10" s="2">
        <v>1</v>
      </c>
      <c r="R10" s="2">
        <v>8</v>
      </c>
      <c r="S10" s="2">
        <v>0</v>
      </c>
      <c r="T10" s="2">
        <v>0</v>
      </c>
      <c r="U10" s="2">
        <f t="shared" si="1"/>
        <v>43</v>
      </c>
      <c r="V10" s="2" t="s">
        <v>167</v>
      </c>
    </row>
    <row r="11" spans="1:23" x14ac:dyDescent="0.25">
      <c r="A11" s="18" t="str">
        <f>("326")</f>
        <v>326</v>
      </c>
      <c r="B11" s="5" t="str">
        <f>("58049")</f>
        <v>58049</v>
      </c>
      <c r="C11" s="6" t="s">
        <v>114</v>
      </c>
      <c r="D11" s="6" t="s">
        <v>15</v>
      </c>
      <c r="E11" s="6" t="s">
        <v>16</v>
      </c>
      <c r="F11" s="7"/>
      <c r="G11" s="6" t="s">
        <v>23</v>
      </c>
      <c r="H11" s="12" t="s">
        <v>18</v>
      </c>
      <c r="I11" s="2">
        <v>9</v>
      </c>
      <c r="J11" s="2">
        <v>4</v>
      </c>
      <c r="K11" s="2">
        <v>9</v>
      </c>
      <c r="L11" s="2">
        <v>3</v>
      </c>
      <c r="M11" s="2">
        <v>0</v>
      </c>
      <c r="N11" s="2">
        <v>1</v>
      </c>
      <c r="O11" s="2">
        <v>6</v>
      </c>
      <c r="P11" s="2">
        <v>2</v>
      </c>
      <c r="Q11" s="2">
        <v>5</v>
      </c>
      <c r="R11" s="2">
        <v>9</v>
      </c>
      <c r="S11" s="2">
        <v>0</v>
      </c>
      <c r="T11" s="2">
        <v>0</v>
      </c>
      <c r="U11" s="2">
        <f t="shared" si="1"/>
        <v>48</v>
      </c>
      <c r="V11" s="2" t="s">
        <v>168</v>
      </c>
    </row>
    <row r="12" spans="1:23" x14ac:dyDescent="0.25">
      <c r="A12" s="18" t="str">
        <f>("9")</f>
        <v>9</v>
      </c>
      <c r="B12" s="5" t="str">
        <f>("162639")</f>
        <v>162639</v>
      </c>
      <c r="C12" s="6" t="s">
        <v>14</v>
      </c>
      <c r="D12" s="6" t="s">
        <v>15</v>
      </c>
      <c r="E12" s="6" t="s">
        <v>16</v>
      </c>
      <c r="F12" s="7"/>
      <c r="G12" s="6" t="s">
        <v>17</v>
      </c>
      <c r="H12" s="12" t="s">
        <v>18</v>
      </c>
      <c r="I12" s="2">
        <v>4</v>
      </c>
      <c r="J12" s="2">
        <v>3</v>
      </c>
      <c r="K12" s="2">
        <v>9</v>
      </c>
      <c r="L12" s="2">
        <v>3</v>
      </c>
      <c r="M12" s="2">
        <v>3</v>
      </c>
      <c r="N12" s="2">
        <v>4</v>
      </c>
      <c r="O12" s="2">
        <v>4</v>
      </c>
      <c r="P12" s="2">
        <v>9</v>
      </c>
      <c r="Q12" s="2">
        <v>2</v>
      </c>
      <c r="R12" s="2">
        <v>7</v>
      </c>
      <c r="S12" s="2">
        <v>0</v>
      </c>
      <c r="T12" s="2">
        <v>2</v>
      </c>
      <c r="U12" s="2">
        <f t="shared" si="1"/>
        <v>50</v>
      </c>
      <c r="V12" s="2" t="s">
        <v>169</v>
      </c>
    </row>
    <row r="13" spans="1:23" x14ac:dyDescent="0.25">
      <c r="A13" s="18" t="str">
        <f>("110")</f>
        <v>110</v>
      </c>
      <c r="B13" s="5" t="str">
        <f>("87403")</f>
        <v>87403</v>
      </c>
      <c r="C13" s="6" t="s">
        <v>63</v>
      </c>
      <c r="D13" s="6" t="s">
        <v>61</v>
      </c>
      <c r="E13" s="6" t="s">
        <v>16</v>
      </c>
      <c r="F13" s="7"/>
      <c r="G13" s="6" t="s">
        <v>64</v>
      </c>
      <c r="H13" s="12" t="s">
        <v>65</v>
      </c>
      <c r="I13" s="2">
        <v>8</v>
      </c>
      <c r="J13" s="2">
        <v>9</v>
      </c>
      <c r="K13" s="2">
        <v>9</v>
      </c>
      <c r="L13" s="2">
        <v>5</v>
      </c>
      <c r="M13" s="2">
        <v>8</v>
      </c>
      <c r="N13" s="2">
        <v>4</v>
      </c>
      <c r="O13" s="2">
        <v>4</v>
      </c>
      <c r="P13" s="2">
        <v>4</v>
      </c>
      <c r="Q13" s="2">
        <v>3</v>
      </c>
      <c r="R13" s="2">
        <v>7</v>
      </c>
      <c r="S13" s="2">
        <v>1</v>
      </c>
      <c r="T13" s="2">
        <v>0</v>
      </c>
      <c r="U13" s="2">
        <f t="shared" si="1"/>
        <v>62</v>
      </c>
      <c r="V13" s="2" t="s">
        <v>170</v>
      </c>
    </row>
    <row r="14" spans="1:23" x14ac:dyDescent="0.25">
      <c r="A14" s="18" t="str">
        <f>("550")</f>
        <v>550</v>
      </c>
      <c r="B14" s="5" t="str">
        <f>("147892")</f>
        <v>147892</v>
      </c>
      <c r="C14" s="6" t="s">
        <v>143</v>
      </c>
      <c r="D14" s="6" t="s">
        <v>144</v>
      </c>
      <c r="E14" s="6" t="s">
        <v>16</v>
      </c>
      <c r="F14" s="7"/>
      <c r="G14" s="6" t="s">
        <v>145</v>
      </c>
      <c r="H14" s="12" t="s">
        <v>0</v>
      </c>
      <c r="I14" s="2">
        <v>8</v>
      </c>
      <c r="J14" s="2">
        <v>15</v>
      </c>
      <c r="K14" s="2">
        <v>11</v>
      </c>
      <c r="L14" s="2">
        <v>8</v>
      </c>
      <c r="M14" s="2">
        <v>5</v>
      </c>
      <c r="N14" s="2">
        <v>2</v>
      </c>
      <c r="O14" s="2">
        <v>1</v>
      </c>
      <c r="P14" s="2">
        <v>8</v>
      </c>
      <c r="Q14" s="2">
        <v>4</v>
      </c>
      <c r="R14" s="2">
        <v>5</v>
      </c>
      <c r="S14" s="2">
        <v>5</v>
      </c>
      <c r="T14" s="2">
        <v>0</v>
      </c>
      <c r="U14" s="2">
        <f t="shared" si="1"/>
        <v>72</v>
      </c>
      <c r="V14" s="2" t="s">
        <v>171</v>
      </c>
    </row>
    <row r="15" spans="1:23" x14ac:dyDescent="0.25">
      <c r="A15" s="18" t="str">
        <f>("288")</f>
        <v>288</v>
      </c>
      <c r="B15" s="5" t="str">
        <f>("143205")</f>
        <v>143205</v>
      </c>
      <c r="C15" s="6" t="s">
        <v>99</v>
      </c>
      <c r="D15" s="6" t="s">
        <v>100</v>
      </c>
      <c r="E15" s="6" t="s">
        <v>16</v>
      </c>
      <c r="F15" s="7"/>
      <c r="G15" s="6" t="s">
        <v>46</v>
      </c>
      <c r="H15" s="12" t="s">
        <v>97</v>
      </c>
      <c r="I15" s="2">
        <v>9</v>
      </c>
      <c r="J15" s="2">
        <v>12</v>
      </c>
      <c r="K15" s="2">
        <v>9</v>
      </c>
      <c r="L15" s="2">
        <v>6</v>
      </c>
      <c r="M15" s="2">
        <v>13</v>
      </c>
      <c r="N15" s="2">
        <v>3</v>
      </c>
      <c r="O15" s="2">
        <v>1</v>
      </c>
      <c r="P15" s="2">
        <v>3</v>
      </c>
      <c r="Q15" s="2">
        <v>9</v>
      </c>
      <c r="R15" s="2">
        <v>9</v>
      </c>
      <c r="S15" s="2">
        <v>1</v>
      </c>
      <c r="T15" s="2">
        <v>1</v>
      </c>
      <c r="U15" s="2">
        <f t="shared" si="1"/>
        <v>76</v>
      </c>
      <c r="V15" s="2" t="s">
        <v>172</v>
      </c>
    </row>
    <row r="16" spans="1:23" x14ac:dyDescent="0.25">
      <c r="A16" s="18" t="str">
        <f>("48")</f>
        <v>48</v>
      </c>
      <c r="B16" s="5" t="str">
        <f>("134327")</f>
        <v>134327</v>
      </c>
      <c r="C16" s="6" t="s">
        <v>38</v>
      </c>
      <c r="D16" s="6" t="s">
        <v>39</v>
      </c>
      <c r="E16" s="6" t="s">
        <v>16</v>
      </c>
      <c r="F16" s="7"/>
      <c r="G16" s="6" t="s">
        <v>40</v>
      </c>
      <c r="H16" s="12" t="s">
        <v>41</v>
      </c>
      <c r="I16" s="2">
        <v>7</v>
      </c>
      <c r="J16" s="2">
        <v>7</v>
      </c>
      <c r="K16" s="2">
        <v>10</v>
      </c>
      <c r="L16" s="2">
        <v>7</v>
      </c>
      <c r="M16" s="2">
        <v>10</v>
      </c>
      <c r="N16" s="2">
        <v>8</v>
      </c>
      <c r="O16" s="2">
        <v>4</v>
      </c>
      <c r="P16" s="2">
        <v>9</v>
      </c>
      <c r="Q16" s="2">
        <v>9</v>
      </c>
      <c r="R16" s="2">
        <v>9</v>
      </c>
      <c r="S16" s="2">
        <v>0</v>
      </c>
      <c r="T16" s="2">
        <v>3</v>
      </c>
      <c r="U16" s="2">
        <f t="shared" si="1"/>
        <v>83</v>
      </c>
      <c r="V16" s="2" t="s">
        <v>173</v>
      </c>
    </row>
    <row r="17" spans="1:22" x14ac:dyDescent="0.25">
      <c r="A17" s="18" t="str">
        <f>("307")</f>
        <v>307</v>
      </c>
      <c r="B17" s="5" t="str">
        <f>("181769")</f>
        <v>181769</v>
      </c>
      <c r="C17" s="6" t="s">
        <v>88</v>
      </c>
      <c r="D17" s="6" t="s">
        <v>109</v>
      </c>
      <c r="E17" s="6" t="s">
        <v>16</v>
      </c>
      <c r="F17" s="7"/>
      <c r="G17" s="6" t="s">
        <v>110</v>
      </c>
      <c r="H17" s="12" t="s">
        <v>65</v>
      </c>
      <c r="I17" s="2">
        <v>5</v>
      </c>
      <c r="J17" s="2">
        <v>11</v>
      </c>
      <c r="K17" s="2">
        <v>9</v>
      </c>
      <c r="L17" s="2">
        <v>9</v>
      </c>
      <c r="M17" s="2">
        <v>11</v>
      </c>
      <c r="N17" s="2">
        <v>4</v>
      </c>
      <c r="O17" s="2">
        <v>2</v>
      </c>
      <c r="P17" s="2">
        <v>15</v>
      </c>
      <c r="Q17" s="2">
        <v>8</v>
      </c>
      <c r="R17" s="2">
        <v>9</v>
      </c>
      <c r="S17" s="2">
        <v>1</v>
      </c>
      <c r="T17" s="2">
        <v>4</v>
      </c>
      <c r="U17" s="2">
        <f t="shared" si="1"/>
        <v>88</v>
      </c>
      <c r="V17" s="2" t="s">
        <v>177</v>
      </c>
    </row>
    <row r="18" spans="1:22" x14ac:dyDescent="0.25">
      <c r="A18" s="18" t="str">
        <f>("190")</f>
        <v>190</v>
      </c>
      <c r="B18" s="5" t="str">
        <f>("11704")</f>
        <v>11704</v>
      </c>
      <c r="C18" s="6" t="s">
        <v>80</v>
      </c>
      <c r="D18" s="6" t="s">
        <v>81</v>
      </c>
      <c r="E18" s="6" t="s">
        <v>16</v>
      </c>
      <c r="F18" s="7"/>
      <c r="G18" s="6" t="s">
        <v>82</v>
      </c>
      <c r="H18" s="12" t="s">
        <v>83</v>
      </c>
      <c r="I18" s="2" t="s">
        <v>163</v>
      </c>
      <c r="J18" s="2" t="s">
        <v>163</v>
      </c>
      <c r="K18" s="2" t="s">
        <v>163</v>
      </c>
      <c r="L18" s="2" t="s">
        <v>163</v>
      </c>
      <c r="M18" s="2" t="s">
        <v>163</v>
      </c>
      <c r="N18" s="2" t="s">
        <v>163</v>
      </c>
      <c r="O18" s="2" t="s">
        <v>163</v>
      </c>
      <c r="P18" s="2" t="s">
        <v>163</v>
      </c>
      <c r="Q18" s="2" t="s">
        <v>163</v>
      </c>
      <c r="R18" s="2" t="s">
        <v>163</v>
      </c>
      <c r="S18" s="2" t="s">
        <v>163</v>
      </c>
      <c r="T18" s="2" t="s">
        <v>163</v>
      </c>
      <c r="U18" s="2" t="s">
        <v>163</v>
      </c>
      <c r="V18" s="2" t="s">
        <v>163</v>
      </c>
    </row>
    <row r="19" spans="1:22" x14ac:dyDescent="0.25">
      <c r="A19" s="18"/>
      <c r="B19" s="5"/>
      <c r="C19" s="6"/>
      <c r="D19" s="6"/>
      <c r="E19" s="6"/>
      <c r="F19" s="20"/>
      <c r="G19" s="6"/>
      <c r="H19" s="1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25">
      <c r="A20" s="18" t="str">
        <f>("293")</f>
        <v>293</v>
      </c>
      <c r="B20" s="5" t="str">
        <f>("4825")</f>
        <v>4825</v>
      </c>
      <c r="C20" s="6" t="s">
        <v>84</v>
      </c>
      <c r="D20" s="6" t="s">
        <v>101</v>
      </c>
      <c r="E20" s="6" t="s">
        <v>55</v>
      </c>
      <c r="F20" s="9" t="s">
        <v>56</v>
      </c>
      <c r="G20" s="6" t="s">
        <v>102</v>
      </c>
      <c r="H20" s="12" t="s">
        <v>0</v>
      </c>
      <c r="I20" s="2">
        <v>1</v>
      </c>
      <c r="J20" s="2">
        <v>9</v>
      </c>
      <c r="K20" s="2">
        <v>0</v>
      </c>
      <c r="L20" s="2">
        <v>0</v>
      </c>
      <c r="M20" s="2">
        <v>5</v>
      </c>
      <c r="N20" s="2">
        <v>0</v>
      </c>
      <c r="O20" s="2">
        <v>1</v>
      </c>
      <c r="P20" s="2">
        <v>2</v>
      </c>
      <c r="Q20" s="2">
        <v>5</v>
      </c>
      <c r="R20" s="2">
        <v>5</v>
      </c>
      <c r="S20" s="2">
        <v>0</v>
      </c>
      <c r="T20" s="2">
        <v>0</v>
      </c>
      <c r="U20" s="2">
        <f>SUM(I20:T20)</f>
        <v>28</v>
      </c>
      <c r="V20" s="2" t="s">
        <v>164</v>
      </c>
    </row>
    <row r="21" spans="1:22" x14ac:dyDescent="0.25">
      <c r="A21" s="18"/>
      <c r="B21" s="5"/>
      <c r="C21" s="6"/>
      <c r="D21" s="6"/>
      <c r="E21" s="6"/>
      <c r="F21" s="20"/>
      <c r="G21" s="6"/>
      <c r="H21" s="1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x14ac:dyDescent="0.25">
      <c r="A22" s="18" t="str">
        <f>("22")</f>
        <v>22</v>
      </c>
      <c r="B22" s="5" t="str">
        <f>("119604")</f>
        <v>119604</v>
      </c>
      <c r="C22" s="6" t="s">
        <v>27</v>
      </c>
      <c r="D22" s="6" t="s">
        <v>28</v>
      </c>
      <c r="E22" s="6" t="s">
        <v>29</v>
      </c>
      <c r="F22" s="9"/>
      <c r="G22" s="6" t="s">
        <v>30</v>
      </c>
      <c r="H22" s="12" t="s">
        <v>0</v>
      </c>
      <c r="I22" s="2">
        <v>0</v>
      </c>
      <c r="J22" s="2">
        <v>0</v>
      </c>
      <c r="K22" s="2">
        <v>0</v>
      </c>
      <c r="L22" s="2">
        <v>1</v>
      </c>
      <c r="M22" s="2">
        <v>0</v>
      </c>
      <c r="N22" s="2">
        <v>0</v>
      </c>
      <c r="O22" s="2">
        <v>0</v>
      </c>
      <c r="P22" s="2">
        <v>1</v>
      </c>
      <c r="Q22" s="2">
        <v>0</v>
      </c>
      <c r="R22" s="2">
        <v>1</v>
      </c>
      <c r="S22" s="2">
        <v>0</v>
      </c>
      <c r="T22" s="2">
        <v>0</v>
      </c>
      <c r="U22" s="2">
        <f>SUM(I22:T22)</f>
        <v>3</v>
      </c>
      <c r="V22" s="2" t="s">
        <v>164</v>
      </c>
    </row>
    <row r="23" spans="1:22" x14ac:dyDescent="0.25">
      <c r="A23" s="18" t="str">
        <f>("250")</f>
        <v>250</v>
      </c>
      <c r="B23" s="5" t="str">
        <f>("11543")</f>
        <v>11543</v>
      </c>
      <c r="C23" s="6" t="s">
        <v>176</v>
      </c>
      <c r="D23" s="6" t="s">
        <v>98</v>
      </c>
      <c r="E23" s="6" t="s">
        <v>29</v>
      </c>
      <c r="F23" s="9"/>
      <c r="G23" s="6" t="s">
        <v>49</v>
      </c>
      <c r="H23" s="12" t="s">
        <v>72</v>
      </c>
      <c r="I23" s="2">
        <v>1</v>
      </c>
      <c r="J23" s="2">
        <v>3</v>
      </c>
      <c r="K23" s="2">
        <v>7</v>
      </c>
      <c r="L23" s="2">
        <v>6</v>
      </c>
      <c r="M23" s="2">
        <v>1</v>
      </c>
      <c r="N23" s="2">
        <v>4</v>
      </c>
      <c r="O23" s="2">
        <v>0</v>
      </c>
      <c r="P23" s="2">
        <v>8</v>
      </c>
      <c r="Q23" s="2">
        <v>0</v>
      </c>
      <c r="R23" s="2">
        <v>0</v>
      </c>
      <c r="S23" s="2">
        <v>0</v>
      </c>
      <c r="T23" s="2">
        <v>1</v>
      </c>
      <c r="U23" s="2">
        <f>SUM(I23:T23)</f>
        <v>31</v>
      </c>
      <c r="V23" s="2" t="s">
        <v>165</v>
      </c>
    </row>
    <row r="24" spans="1:22" x14ac:dyDescent="0.25">
      <c r="A24" s="18" t="str">
        <f>("453")</f>
        <v>453</v>
      </c>
      <c r="B24" s="5" t="str">
        <f>("203154")</f>
        <v>203154</v>
      </c>
      <c r="C24" s="6" t="s">
        <v>125</v>
      </c>
      <c r="D24" s="6" t="s">
        <v>101</v>
      </c>
      <c r="E24" s="6" t="s">
        <v>29</v>
      </c>
      <c r="F24" s="9"/>
      <c r="G24" s="6" t="s">
        <v>86</v>
      </c>
      <c r="H24" s="12" t="s">
        <v>97</v>
      </c>
      <c r="I24" s="2" t="s">
        <v>163</v>
      </c>
      <c r="J24" s="2" t="s">
        <v>163</v>
      </c>
      <c r="K24" s="2" t="s">
        <v>163</v>
      </c>
      <c r="L24" s="2" t="s">
        <v>163</v>
      </c>
      <c r="M24" s="2" t="s">
        <v>163</v>
      </c>
      <c r="N24" s="2" t="s">
        <v>163</v>
      </c>
      <c r="O24" s="2" t="s">
        <v>163</v>
      </c>
      <c r="P24" s="2" t="s">
        <v>163</v>
      </c>
      <c r="Q24" s="2" t="s">
        <v>163</v>
      </c>
      <c r="R24" s="2" t="s">
        <v>163</v>
      </c>
      <c r="S24" s="2" t="s">
        <v>163</v>
      </c>
      <c r="T24" s="2" t="s">
        <v>163</v>
      </c>
      <c r="U24" s="2" t="s">
        <v>163</v>
      </c>
      <c r="V24" s="2" t="s">
        <v>163</v>
      </c>
    </row>
    <row r="25" spans="1:22" x14ac:dyDescent="0.25">
      <c r="A25" s="18"/>
      <c r="B25" s="5"/>
      <c r="C25" s="6"/>
      <c r="D25" s="6"/>
      <c r="E25" s="6"/>
      <c r="F25" s="20"/>
      <c r="G25" s="6"/>
      <c r="H25" s="1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x14ac:dyDescent="0.25">
      <c r="A26" s="18" t="str">
        <f>("317")</f>
        <v>317</v>
      </c>
      <c r="B26" s="5" t="str">
        <f>("73859")</f>
        <v>73859</v>
      </c>
      <c r="C26" s="6" t="s">
        <v>111</v>
      </c>
      <c r="D26" s="6" t="s">
        <v>112</v>
      </c>
      <c r="E26" s="6" t="s">
        <v>52</v>
      </c>
      <c r="F26" s="5" t="s">
        <v>22</v>
      </c>
      <c r="G26" s="6" t="s">
        <v>82</v>
      </c>
      <c r="H26" s="12" t="s">
        <v>113</v>
      </c>
      <c r="I26" s="2">
        <v>0</v>
      </c>
      <c r="J26" s="2">
        <v>0</v>
      </c>
      <c r="K26" s="2">
        <v>0</v>
      </c>
      <c r="L26" s="2">
        <v>1</v>
      </c>
      <c r="M26" s="2">
        <v>3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f t="shared" ref="U26:U32" si="2">SUM(I26:T26)</f>
        <v>4</v>
      </c>
      <c r="V26" s="2" t="s">
        <v>164</v>
      </c>
    </row>
    <row r="27" spans="1:22" x14ac:dyDescent="0.25">
      <c r="A27" s="18" t="str">
        <f>("227")</f>
        <v>227</v>
      </c>
      <c r="B27" s="5" t="str">
        <f>("9306")</f>
        <v>9306</v>
      </c>
      <c r="C27" s="6" t="s">
        <v>88</v>
      </c>
      <c r="D27" s="6" t="s">
        <v>89</v>
      </c>
      <c r="E27" s="6" t="s">
        <v>52</v>
      </c>
      <c r="F27" s="8"/>
      <c r="G27" s="6" t="s">
        <v>90</v>
      </c>
      <c r="H27" s="12" t="s">
        <v>0</v>
      </c>
      <c r="I27" s="2">
        <v>1</v>
      </c>
      <c r="J27" s="2">
        <v>1</v>
      </c>
      <c r="K27" s="2">
        <v>0</v>
      </c>
      <c r="L27" s="2">
        <v>1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4</v>
      </c>
      <c r="S27" s="2">
        <v>0</v>
      </c>
      <c r="T27" s="2">
        <v>0</v>
      </c>
      <c r="U27" s="2">
        <f t="shared" si="2"/>
        <v>7</v>
      </c>
      <c r="V27" s="2" t="s">
        <v>165</v>
      </c>
    </row>
    <row r="28" spans="1:22" x14ac:dyDescent="0.25">
      <c r="A28" s="18" t="str">
        <f>("76")</f>
        <v>76</v>
      </c>
      <c r="B28" s="5" t="str">
        <f>("18")</f>
        <v>18</v>
      </c>
      <c r="C28" s="6" t="s">
        <v>50</v>
      </c>
      <c r="D28" s="6" t="s">
        <v>51</v>
      </c>
      <c r="E28" s="6" t="s">
        <v>52</v>
      </c>
      <c r="F28" s="8"/>
      <c r="G28" s="6" t="s">
        <v>53</v>
      </c>
      <c r="H28" s="12" t="s">
        <v>18</v>
      </c>
      <c r="I28" s="2">
        <v>0</v>
      </c>
      <c r="J28" s="2">
        <v>1</v>
      </c>
      <c r="K28" s="2">
        <v>0</v>
      </c>
      <c r="L28" s="2">
        <v>6</v>
      </c>
      <c r="M28" s="2">
        <v>0</v>
      </c>
      <c r="N28" s="2">
        <v>0</v>
      </c>
      <c r="O28" s="2">
        <v>5</v>
      </c>
      <c r="P28" s="2">
        <v>0</v>
      </c>
      <c r="Q28" s="2">
        <v>0</v>
      </c>
      <c r="R28" s="2">
        <v>11</v>
      </c>
      <c r="S28" s="2">
        <v>0</v>
      </c>
      <c r="T28" s="2">
        <v>0</v>
      </c>
      <c r="U28" s="2">
        <f t="shared" si="2"/>
        <v>23</v>
      </c>
      <c r="V28" s="2" t="s">
        <v>166</v>
      </c>
    </row>
    <row r="29" spans="1:22" x14ac:dyDescent="0.25">
      <c r="A29" s="18" t="str">
        <f>("169")</f>
        <v>169</v>
      </c>
      <c r="B29" s="5" t="str">
        <f>("186066")</f>
        <v>186066</v>
      </c>
      <c r="C29" s="6" t="s">
        <v>73</v>
      </c>
      <c r="D29" s="6" t="s">
        <v>74</v>
      </c>
      <c r="E29" s="6" t="s">
        <v>52</v>
      </c>
      <c r="F29" s="8"/>
      <c r="G29" s="6" t="s">
        <v>75</v>
      </c>
      <c r="H29" s="12" t="s">
        <v>0</v>
      </c>
      <c r="I29" s="2">
        <v>6</v>
      </c>
      <c r="J29" s="2">
        <v>1</v>
      </c>
      <c r="K29" s="2">
        <v>2</v>
      </c>
      <c r="L29" s="2">
        <v>6</v>
      </c>
      <c r="M29" s="2">
        <v>1</v>
      </c>
      <c r="N29" s="2">
        <v>0</v>
      </c>
      <c r="O29" s="2">
        <v>0</v>
      </c>
      <c r="P29" s="2">
        <v>1</v>
      </c>
      <c r="Q29" s="2">
        <v>9</v>
      </c>
      <c r="R29" s="2">
        <v>9</v>
      </c>
      <c r="S29" s="2">
        <v>1</v>
      </c>
      <c r="T29" s="2">
        <v>0</v>
      </c>
      <c r="U29" s="2">
        <f t="shared" si="2"/>
        <v>36</v>
      </c>
      <c r="V29" s="2" t="s">
        <v>167</v>
      </c>
    </row>
    <row r="30" spans="1:22" x14ac:dyDescent="0.25">
      <c r="A30" s="18" t="str">
        <f>("428")</f>
        <v>428</v>
      </c>
      <c r="B30" s="5" t="str">
        <f>("204715")</f>
        <v>204715</v>
      </c>
      <c r="C30" s="6" t="s">
        <v>136</v>
      </c>
      <c r="D30" s="6" t="s">
        <v>137</v>
      </c>
      <c r="E30" s="6" t="s">
        <v>52</v>
      </c>
      <c r="F30" s="8"/>
      <c r="G30" s="6" t="s">
        <v>46</v>
      </c>
      <c r="H30" s="12" t="s">
        <v>0</v>
      </c>
      <c r="I30" s="2">
        <v>8</v>
      </c>
      <c r="J30" s="2">
        <v>1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11</v>
      </c>
      <c r="Q30" s="2">
        <v>8</v>
      </c>
      <c r="R30" s="2">
        <v>8</v>
      </c>
      <c r="S30" s="2">
        <v>1</v>
      </c>
      <c r="T30" s="2">
        <v>0</v>
      </c>
      <c r="U30" s="2">
        <f t="shared" si="2"/>
        <v>37</v>
      </c>
      <c r="V30" s="2" t="s">
        <v>168</v>
      </c>
    </row>
    <row r="31" spans="1:22" x14ac:dyDescent="0.25">
      <c r="A31" s="18" t="str">
        <f>("389")</f>
        <v>389</v>
      </c>
      <c r="B31" s="5" t="str">
        <f>("203913")</f>
        <v>203913</v>
      </c>
      <c r="C31" s="6" t="s">
        <v>120</v>
      </c>
      <c r="D31" s="6" t="s">
        <v>121</v>
      </c>
      <c r="E31" s="6" t="s">
        <v>52</v>
      </c>
      <c r="F31" s="8"/>
      <c r="G31" s="6" t="s">
        <v>122</v>
      </c>
      <c r="H31" s="12" t="s">
        <v>0</v>
      </c>
      <c r="I31" s="2">
        <v>6</v>
      </c>
      <c r="J31" s="2">
        <v>1</v>
      </c>
      <c r="K31" s="2">
        <v>0</v>
      </c>
      <c r="L31" s="2">
        <v>6</v>
      </c>
      <c r="M31" s="2">
        <v>0</v>
      </c>
      <c r="N31" s="2">
        <v>0</v>
      </c>
      <c r="O31" s="2">
        <v>2</v>
      </c>
      <c r="P31" s="2">
        <v>1</v>
      </c>
      <c r="Q31" s="2">
        <v>1</v>
      </c>
      <c r="R31" s="2">
        <v>9</v>
      </c>
      <c r="S31" s="2">
        <v>9</v>
      </c>
      <c r="T31" s="2">
        <v>5</v>
      </c>
      <c r="U31" s="2">
        <f t="shared" si="2"/>
        <v>40</v>
      </c>
      <c r="V31" s="2" t="s">
        <v>169</v>
      </c>
    </row>
    <row r="32" spans="1:22" x14ac:dyDescent="0.25">
      <c r="A32" s="18" t="str">
        <f>("434")</f>
        <v>434</v>
      </c>
      <c r="B32" s="5" t="str">
        <f>("186529")</f>
        <v>186529</v>
      </c>
      <c r="C32" s="6" t="s">
        <v>91</v>
      </c>
      <c r="D32" s="6" t="s">
        <v>138</v>
      </c>
      <c r="E32" s="6" t="s">
        <v>52</v>
      </c>
      <c r="F32" s="8"/>
      <c r="G32" s="6" t="s">
        <v>139</v>
      </c>
      <c r="H32" s="12" t="s">
        <v>0</v>
      </c>
      <c r="I32" s="2">
        <v>13</v>
      </c>
      <c r="J32" s="2">
        <v>9</v>
      </c>
      <c r="K32" s="2">
        <v>0</v>
      </c>
      <c r="L32" s="2">
        <v>7</v>
      </c>
      <c r="M32" s="2">
        <v>0</v>
      </c>
      <c r="N32" s="2">
        <v>0</v>
      </c>
      <c r="O32" s="2">
        <v>2</v>
      </c>
      <c r="P32" s="2">
        <v>0</v>
      </c>
      <c r="Q32" s="2">
        <v>7</v>
      </c>
      <c r="R32" s="2">
        <v>3</v>
      </c>
      <c r="S32" s="2">
        <v>1</v>
      </c>
      <c r="T32" s="2">
        <v>5</v>
      </c>
      <c r="U32" s="2">
        <f t="shared" si="2"/>
        <v>47</v>
      </c>
      <c r="V32" s="2" t="s">
        <v>170</v>
      </c>
    </row>
    <row r="33" spans="1:22" x14ac:dyDescent="0.25">
      <c r="A33" s="18" t="str">
        <f>("404")</f>
        <v>404</v>
      </c>
      <c r="B33" s="5" t="str">
        <f>("147385")</f>
        <v>147385</v>
      </c>
      <c r="C33" s="6" t="s">
        <v>130</v>
      </c>
      <c r="D33" s="6" t="s">
        <v>128</v>
      </c>
      <c r="E33" s="6" t="s">
        <v>52</v>
      </c>
      <c r="F33" s="8" t="s">
        <v>131</v>
      </c>
      <c r="G33" s="6" t="s">
        <v>132</v>
      </c>
      <c r="H33" s="12" t="s">
        <v>0</v>
      </c>
      <c r="I33" s="2" t="s">
        <v>163</v>
      </c>
      <c r="J33" s="2" t="s">
        <v>163</v>
      </c>
      <c r="K33" s="2" t="s">
        <v>163</v>
      </c>
      <c r="L33" s="2" t="s">
        <v>163</v>
      </c>
      <c r="M33" s="2" t="s">
        <v>163</v>
      </c>
      <c r="N33" s="2" t="s">
        <v>163</v>
      </c>
      <c r="O33" s="2" t="s">
        <v>163</v>
      </c>
      <c r="P33" s="2" t="s">
        <v>163</v>
      </c>
      <c r="Q33" s="2" t="s">
        <v>163</v>
      </c>
      <c r="R33" s="2" t="s">
        <v>163</v>
      </c>
      <c r="S33" s="2" t="s">
        <v>163</v>
      </c>
      <c r="T33" s="2" t="s">
        <v>163</v>
      </c>
      <c r="U33" s="2" t="s">
        <v>163</v>
      </c>
      <c r="V33" s="2" t="s">
        <v>163</v>
      </c>
    </row>
    <row r="34" spans="1:22" x14ac:dyDescent="0.25">
      <c r="A34" s="18"/>
      <c r="B34" s="5"/>
      <c r="C34" s="6"/>
      <c r="D34" s="6"/>
      <c r="E34" s="6"/>
      <c r="F34" s="20"/>
      <c r="G34" s="6"/>
      <c r="H34" s="1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x14ac:dyDescent="0.25">
      <c r="A35" s="18" t="str">
        <f>("174")</f>
        <v>174</v>
      </c>
      <c r="B35" s="5" t="str">
        <f>("107604")</f>
        <v>107604</v>
      </c>
      <c r="C35" s="6" t="s">
        <v>76</v>
      </c>
      <c r="D35" s="6" t="s">
        <v>77</v>
      </c>
      <c r="E35" s="6" t="s">
        <v>78</v>
      </c>
      <c r="F35" s="5" t="s">
        <v>22</v>
      </c>
      <c r="G35" s="6" t="s">
        <v>79</v>
      </c>
      <c r="H35" s="12" t="s">
        <v>65</v>
      </c>
      <c r="I35" s="2">
        <v>4</v>
      </c>
      <c r="J35" s="2">
        <v>0</v>
      </c>
      <c r="K35" s="2">
        <v>2</v>
      </c>
      <c r="L35" s="2">
        <v>0</v>
      </c>
      <c r="M35" s="2">
        <v>2</v>
      </c>
      <c r="N35" s="2">
        <v>0</v>
      </c>
      <c r="O35" s="2">
        <v>0</v>
      </c>
      <c r="P35" s="2">
        <v>1</v>
      </c>
      <c r="Q35" s="2">
        <v>1</v>
      </c>
      <c r="R35" s="2">
        <v>2</v>
      </c>
      <c r="S35" s="2">
        <v>0</v>
      </c>
      <c r="T35" s="2">
        <v>1</v>
      </c>
      <c r="U35" s="2">
        <f>SUM(I35:T35)</f>
        <v>13</v>
      </c>
      <c r="V35" s="2" t="s">
        <v>164</v>
      </c>
    </row>
    <row r="36" spans="1:22" x14ac:dyDescent="0.25">
      <c r="A36" s="18" t="str">
        <f>("57")</f>
        <v>57</v>
      </c>
      <c r="B36" s="5" t="str">
        <f>("121323")</f>
        <v>121323</v>
      </c>
      <c r="C36" s="6" t="s">
        <v>174</v>
      </c>
      <c r="D36" s="6" t="s">
        <v>43</v>
      </c>
      <c r="E36" s="6" t="s">
        <v>78</v>
      </c>
      <c r="F36" s="5" t="s">
        <v>22</v>
      </c>
      <c r="G36" s="6" t="s">
        <v>175</v>
      </c>
      <c r="H36" s="12" t="s">
        <v>0</v>
      </c>
      <c r="I36" s="2">
        <v>3</v>
      </c>
      <c r="J36" s="2">
        <v>0</v>
      </c>
      <c r="K36" s="2">
        <v>3</v>
      </c>
      <c r="L36" s="2">
        <v>0</v>
      </c>
      <c r="M36" s="2">
        <v>1</v>
      </c>
      <c r="N36" s="2">
        <v>0</v>
      </c>
      <c r="O36" s="2">
        <v>4</v>
      </c>
      <c r="P36" s="2">
        <v>1</v>
      </c>
      <c r="Q36" s="2">
        <v>5</v>
      </c>
      <c r="R36" s="2">
        <v>4</v>
      </c>
      <c r="S36" s="2">
        <v>1</v>
      </c>
      <c r="T36" s="2">
        <v>0</v>
      </c>
      <c r="U36" s="2">
        <f>SUM(I36:T36)</f>
        <v>22</v>
      </c>
      <c r="V36" s="2" t="s">
        <v>165</v>
      </c>
    </row>
    <row r="37" spans="1:22" x14ac:dyDescent="0.25">
      <c r="A37" s="18"/>
      <c r="B37" s="5"/>
      <c r="C37" s="6"/>
      <c r="D37" s="6"/>
      <c r="E37" s="6"/>
      <c r="F37" s="5"/>
      <c r="G37" s="6"/>
      <c r="H37" s="1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5">
      <c r="A38" s="18" t="str">
        <f>("1")</f>
        <v>1</v>
      </c>
      <c r="B38" s="5" t="str">
        <f>("49772")</f>
        <v>49772</v>
      </c>
      <c r="C38" s="6" t="s">
        <v>10</v>
      </c>
      <c r="D38" s="6" t="s">
        <v>11</v>
      </c>
      <c r="E38" s="6" t="s">
        <v>12</v>
      </c>
      <c r="F38" s="8"/>
      <c r="G38" s="6" t="s">
        <v>13</v>
      </c>
      <c r="H38" s="12" t="s">
        <v>0</v>
      </c>
      <c r="I38" s="2">
        <v>0</v>
      </c>
      <c r="J38" s="2">
        <v>3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2</v>
      </c>
      <c r="S38" s="2">
        <v>1</v>
      </c>
      <c r="T38" s="2">
        <v>0</v>
      </c>
      <c r="U38" s="2">
        <f>SUM(I38:T38)</f>
        <v>6</v>
      </c>
      <c r="V38" s="2" t="s">
        <v>164</v>
      </c>
    </row>
    <row r="39" spans="1:22" x14ac:dyDescent="0.25">
      <c r="A39" s="18" t="str">
        <f>("303")</f>
        <v>303</v>
      </c>
      <c r="B39" s="5" t="str">
        <f>("142784")</f>
        <v>142784</v>
      </c>
      <c r="C39" s="6" t="s">
        <v>103</v>
      </c>
      <c r="D39" s="6" t="s">
        <v>104</v>
      </c>
      <c r="E39" s="6" t="s">
        <v>12</v>
      </c>
      <c r="F39" s="8"/>
      <c r="G39" s="6" t="s">
        <v>105</v>
      </c>
      <c r="H39" s="12" t="s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9</v>
      </c>
      <c r="S39" s="2">
        <v>2</v>
      </c>
      <c r="T39" s="2">
        <v>0</v>
      </c>
      <c r="U39" s="2">
        <f>SUM(I39:T39)</f>
        <v>11</v>
      </c>
      <c r="V39" s="2" t="s">
        <v>165</v>
      </c>
    </row>
    <row r="40" spans="1:22" x14ac:dyDescent="0.25">
      <c r="A40" s="18" t="str">
        <f>("24")</f>
        <v>24</v>
      </c>
      <c r="B40" s="5" t="str">
        <f>("177394")</f>
        <v>177394</v>
      </c>
      <c r="C40" s="6" t="s">
        <v>31</v>
      </c>
      <c r="D40" s="6" t="s">
        <v>32</v>
      </c>
      <c r="E40" s="6" t="s">
        <v>12</v>
      </c>
      <c r="F40" s="8"/>
      <c r="G40" s="6" t="s">
        <v>33</v>
      </c>
      <c r="H40" s="12" t="s">
        <v>34</v>
      </c>
      <c r="I40" s="2">
        <v>0</v>
      </c>
      <c r="J40" s="2">
        <v>0</v>
      </c>
      <c r="K40" s="2">
        <v>0</v>
      </c>
      <c r="L40" s="2">
        <v>3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11</v>
      </c>
      <c r="S40" s="2">
        <v>3</v>
      </c>
      <c r="T40" s="2">
        <v>0</v>
      </c>
      <c r="U40" s="2">
        <f>SUM(I40:T40)</f>
        <v>17</v>
      </c>
      <c r="V40" s="2" t="s">
        <v>166</v>
      </c>
    </row>
    <row r="41" spans="1:22" x14ac:dyDescent="0.25">
      <c r="A41" s="18"/>
      <c r="B41" s="5"/>
      <c r="C41" s="6"/>
      <c r="D41" s="6"/>
      <c r="E41" s="6"/>
      <c r="F41" s="20"/>
      <c r="G41" s="6"/>
      <c r="H41" s="1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x14ac:dyDescent="0.25">
      <c r="A42" s="18" t="str">
        <f>("161")</f>
        <v>161</v>
      </c>
      <c r="B42" s="5" t="str">
        <f>("145451")</f>
        <v>145451</v>
      </c>
      <c r="C42" s="6" t="s">
        <v>69</v>
      </c>
      <c r="D42" s="6" t="s">
        <v>70</v>
      </c>
      <c r="E42" s="6" t="s">
        <v>68</v>
      </c>
      <c r="F42" s="5" t="s">
        <v>22</v>
      </c>
      <c r="G42" s="6" t="s">
        <v>71</v>
      </c>
      <c r="H42" s="12" t="s">
        <v>72</v>
      </c>
      <c r="I42" s="2">
        <v>5</v>
      </c>
      <c r="J42" s="2">
        <v>1</v>
      </c>
      <c r="K42" s="2">
        <v>2</v>
      </c>
      <c r="L42" s="2">
        <v>0</v>
      </c>
      <c r="M42" s="2">
        <v>6</v>
      </c>
      <c r="N42" s="2">
        <v>1</v>
      </c>
      <c r="O42" s="2">
        <v>1</v>
      </c>
      <c r="P42" s="2">
        <v>3</v>
      </c>
      <c r="Q42" s="2">
        <v>2</v>
      </c>
      <c r="R42" s="2">
        <v>1</v>
      </c>
      <c r="S42" s="2">
        <v>0</v>
      </c>
      <c r="T42" s="2">
        <v>0</v>
      </c>
      <c r="U42" s="2">
        <f>SUM(I42:T42)</f>
        <v>22</v>
      </c>
      <c r="V42" s="2" t="s">
        <v>164</v>
      </c>
    </row>
    <row r="43" spans="1:22" x14ac:dyDescent="0.25">
      <c r="A43" s="18" t="str">
        <f>("395")</f>
        <v>395</v>
      </c>
      <c r="B43" s="5" t="str">
        <f>("204244")</f>
        <v>204244</v>
      </c>
      <c r="C43" s="6" t="s">
        <v>125</v>
      </c>
      <c r="D43" s="6" t="s">
        <v>126</v>
      </c>
      <c r="E43" s="6" t="s">
        <v>68</v>
      </c>
      <c r="F43" s="5" t="s">
        <v>22</v>
      </c>
      <c r="G43" s="6" t="s">
        <v>102</v>
      </c>
      <c r="H43" s="12" t="s">
        <v>0</v>
      </c>
      <c r="I43" s="2">
        <v>8</v>
      </c>
      <c r="J43" s="2">
        <v>4</v>
      </c>
      <c r="K43" s="2">
        <v>8</v>
      </c>
      <c r="L43" s="2">
        <v>1</v>
      </c>
      <c r="M43" s="2">
        <v>4</v>
      </c>
      <c r="N43" s="2">
        <v>6</v>
      </c>
      <c r="O43" s="2">
        <v>3</v>
      </c>
      <c r="P43" s="2">
        <v>4</v>
      </c>
      <c r="Q43" s="2">
        <v>7</v>
      </c>
      <c r="R43" s="2">
        <v>9</v>
      </c>
      <c r="S43" s="2">
        <v>0</v>
      </c>
      <c r="T43" s="2">
        <v>6</v>
      </c>
      <c r="U43" s="2">
        <f>SUM(I43:T43)</f>
        <v>60</v>
      </c>
      <c r="V43" s="2" t="s">
        <v>165</v>
      </c>
    </row>
    <row r="44" spans="1:22" x14ac:dyDescent="0.25">
      <c r="A44" s="18" t="str">
        <f>("130")</f>
        <v>130</v>
      </c>
      <c r="B44" s="5" t="str">
        <f>("196062")</f>
        <v>196062</v>
      </c>
      <c r="C44" s="6" t="s">
        <v>66</v>
      </c>
      <c r="D44" s="6" t="s">
        <v>67</v>
      </c>
      <c r="E44" s="6" t="s">
        <v>68</v>
      </c>
      <c r="F44" s="5" t="s">
        <v>22</v>
      </c>
      <c r="G44" s="6" t="s">
        <v>46</v>
      </c>
      <c r="H44" s="12" t="s">
        <v>0</v>
      </c>
      <c r="I44" s="2">
        <v>5</v>
      </c>
      <c r="J44" s="2">
        <v>7</v>
      </c>
      <c r="K44" s="2">
        <v>9</v>
      </c>
      <c r="L44" s="2">
        <v>4</v>
      </c>
      <c r="M44" s="2">
        <v>11</v>
      </c>
      <c r="N44" s="2">
        <v>10</v>
      </c>
      <c r="O44" s="2">
        <v>5</v>
      </c>
      <c r="P44" s="2">
        <v>8</v>
      </c>
      <c r="Q44" s="2">
        <v>9</v>
      </c>
      <c r="R44" s="2">
        <v>1</v>
      </c>
      <c r="S44" s="2">
        <v>1</v>
      </c>
      <c r="T44" s="2">
        <v>5</v>
      </c>
      <c r="U44" s="2">
        <f>SUM(I44:T44)</f>
        <v>75</v>
      </c>
      <c r="V44" s="2" t="s">
        <v>166</v>
      </c>
    </row>
    <row r="45" spans="1:22" x14ac:dyDescent="0.25">
      <c r="A45" s="18"/>
      <c r="B45" s="5"/>
      <c r="C45" s="6"/>
      <c r="D45" s="6"/>
      <c r="E45" s="6"/>
      <c r="F45" s="5"/>
      <c r="G45" s="6"/>
      <c r="H45" s="1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x14ac:dyDescent="0.25">
      <c r="A46" s="18" t="str">
        <f>("37")</f>
        <v>37</v>
      </c>
      <c r="B46" s="5" t="str">
        <f>("116173")</f>
        <v>116173</v>
      </c>
      <c r="C46" s="6" t="s">
        <v>66</v>
      </c>
      <c r="D46" s="6" t="s">
        <v>35</v>
      </c>
      <c r="E46" s="6" t="s">
        <v>36</v>
      </c>
      <c r="F46" s="5" t="s">
        <v>22</v>
      </c>
      <c r="G46" s="6" t="s">
        <v>37</v>
      </c>
      <c r="H46" s="12" t="s">
        <v>0</v>
      </c>
      <c r="I46" s="2">
        <v>1</v>
      </c>
      <c r="J46" s="2">
        <v>0</v>
      </c>
      <c r="K46" s="2">
        <v>1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1</v>
      </c>
      <c r="R46" s="2">
        <v>6</v>
      </c>
      <c r="S46" s="2">
        <v>0</v>
      </c>
      <c r="T46" s="2">
        <v>0</v>
      </c>
      <c r="U46" s="2">
        <f>SUM(I46:T46)</f>
        <v>9</v>
      </c>
      <c r="V46" s="2" t="s">
        <v>164</v>
      </c>
    </row>
    <row r="47" spans="1:22" x14ac:dyDescent="0.25">
      <c r="A47" s="18"/>
      <c r="B47" s="5"/>
      <c r="C47" s="6"/>
      <c r="D47" s="6"/>
      <c r="E47" s="6"/>
      <c r="F47" s="5"/>
      <c r="G47" s="6"/>
      <c r="H47" s="1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5">
      <c r="A48" s="18" t="str">
        <f>("305")</f>
        <v>305</v>
      </c>
      <c r="B48" s="5" t="str">
        <f>("135890")</f>
        <v>135890</v>
      </c>
      <c r="C48" s="6" t="s">
        <v>106</v>
      </c>
      <c r="D48" s="6" t="s">
        <v>107</v>
      </c>
      <c r="E48" s="6" t="s">
        <v>25</v>
      </c>
      <c r="F48" s="8"/>
      <c r="G48" s="6" t="s">
        <v>108</v>
      </c>
      <c r="H48" s="12" t="s">
        <v>87</v>
      </c>
      <c r="I48" s="2">
        <v>0</v>
      </c>
      <c r="J48" s="2">
        <v>0</v>
      </c>
      <c r="K48" s="2">
        <v>2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6</v>
      </c>
      <c r="S48" s="2">
        <v>0</v>
      </c>
      <c r="T48" s="2">
        <v>0</v>
      </c>
      <c r="U48" s="2">
        <f>SUM(I48:T48)</f>
        <v>8</v>
      </c>
      <c r="V48" s="2" t="s">
        <v>164</v>
      </c>
    </row>
    <row r="49" spans="1:22" x14ac:dyDescent="0.25">
      <c r="A49" s="18" t="str">
        <f>("14")</f>
        <v>14</v>
      </c>
      <c r="B49" s="5" t="str">
        <f>("171918")</f>
        <v>171918</v>
      </c>
      <c r="C49" s="6" t="s">
        <v>162</v>
      </c>
      <c r="D49" s="6" t="s">
        <v>24</v>
      </c>
      <c r="E49" s="6" t="s">
        <v>25</v>
      </c>
      <c r="F49" s="8"/>
      <c r="G49" s="6" t="s">
        <v>26</v>
      </c>
      <c r="H49" s="12" t="s">
        <v>0</v>
      </c>
      <c r="I49" s="2">
        <v>0</v>
      </c>
      <c r="J49" s="2">
        <v>0</v>
      </c>
      <c r="K49" s="2">
        <v>0</v>
      </c>
      <c r="L49" s="2">
        <v>3</v>
      </c>
      <c r="M49" s="2">
        <v>0</v>
      </c>
      <c r="N49" s="2">
        <v>0</v>
      </c>
      <c r="O49" s="2">
        <v>0</v>
      </c>
      <c r="P49" s="2">
        <v>0</v>
      </c>
      <c r="Q49" s="2">
        <v>1</v>
      </c>
      <c r="R49" s="2">
        <v>6</v>
      </c>
      <c r="S49" s="2">
        <v>0</v>
      </c>
      <c r="T49" s="2">
        <v>0</v>
      </c>
      <c r="U49" s="2">
        <f>SUM(I49:T49)</f>
        <v>10</v>
      </c>
      <c r="V49" s="2" t="s">
        <v>165</v>
      </c>
    </row>
    <row r="50" spans="1:22" x14ac:dyDescent="0.25">
      <c r="A50" s="18" t="str">
        <f>("352")</f>
        <v>352</v>
      </c>
      <c r="B50" s="5" t="str">
        <f>("198100")</f>
        <v>198100</v>
      </c>
      <c r="C50" s="6" t="s">
        <v>115</v>
      </c>
      <c r="D50" s="6" t="s">
        <v>116</v>
      </c>
      <c r="E50" s="6" t="s">
        <v>25</v>
      </c>
      <c r="F50" s="8"/>
      <c r="G50" s="6" t="s">
        <v>117</v>
      </c>
      <c r="H50" s="12" t="s">
        <v>0</v>
      </c>
      <c r="I50" s="2">
        <v>2</v>
      </c>
      <c r="J50" s="2">
        <v>0</v>
      </c>
      <c r="K50" s="2">
        <v>1</v>
      </c>
      <c r="L50" s="2">
        <v>3</v>
      </c>
      <c r="M50" s="2">
        <v>0</v>
      </c>
      <c r="N50" s="2">
        <v>5</v>
      </c>
      <c r="O50" s="2">
        <v>1</v>
      </c>
      <c r="P50" s="2">
        <v>0</v>
      </c>
      <c r="Q50" s="2">
        <v>7</v>
      </c>
      <c r="R50" s="2">
        <v>2</v>
      </c>
      <c r="S50" s="2">
        <v>4</v>
      </c>
      <c r="T50" s="2">
        <v>10</v>
      </c>
      <c r="U50" s="2">
        <f>SUM(I50:T50)</f>
        <v>35</v>
      </c>
      <c r="V50" s="2" t="s">
        <v>166</v>
      </c>
    </row>
    <row r="51" spans="1:22" x14ac:dyDescent="0.25">
      <c r="A51" s="18"/>
      <c r="B51" s="5"/>
      <c r="C51" s="6"/>
      <c r="D51" s="6"/>
      <c r="E51" s="6"/>
      <c r="F51" s="20"/>
      <c r="G51" s="6"/>
      <c r="H51" s="1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x14ac:dyDescent="0.25">
      <c r="A52" s="18" t="str">
        <f>("63")</f>
        <v>63</v>
      </c>
      <c r="B52" s="5" t="str">
        <f>("185750")</f>
        <v>185750</v>
      </c>
      <c r="C52" s="6" t="s">
        <v>47</v>
      </c>
      <c r="D52" s="6" t="s">
        <v>48</v>
      </c>
      <c r="E52" s="6" t="s">
        <v>21</v>
      </c>
      <c r="F52" s="5" t="s">
        <v>22</v>
      </c>
      <c r="G52" s="6" t="s">
        <v>49</v>
      </c>
      <c r="H52" s="12" t="s">
        <v>0</v>
      </c>
      <c r="I52" s="2">
        <v>2</v>
      </c>
      <c r="J52" s="2">
        <v>1</v>
      </c>
      <c r="K52" s="2">
        <v>1</v>
      </c>
      <c r="L52" s="2">
        <v>0</v>
      </c>
      <c r="M52" s="2">
        <v>1</v>
      </c>
      <c r="N52" s="2">
        <v>0</v>
      </c>
      <c r="O52" s="2">
        <v>1</v>
      </c>
      <c r="P52" s="2">
        <v>1</v>
      </c>
      <c r="Q52" s="2">
        <v>1</v>
      </c>
      <c r="R52" s="2">
        <v>0</v>
      </c>
      <c r="S52" s="2">
        <v>1</v>
      </c>
      <c r="T52" s="2">
        <v>0</v>
      </c>
      <c r="U52" s="2">
        <f t="shared" ref="U52:U58" si="3">SUM(I52:T52)</f>
        <v>9</v>
      </c>
      <c r="V52" s="2" t="s">
        <v>164</v>
      </c>
    </row>
    <row r="53" spans="1:22" x14ac:dyDescent="0.25">
      <c r="A53" s="18" t="str">
        <f>("356")</f>
        <v>356</v>
      </c>
      <c r="B53" s="5" t="str">
        <f>("202739")</f>
        <v>202739</v>
      </c>
      <c r="C53" s="6" t="s">
        <v>76</v>
      </c>
      <c r="D53" s="6" t="s">
        <v>118</v>
      </c>
      <c r="E53" s="6" t="s">
        <v>21</v>
      </c>
      <c r="F53" s="5" t="s">
        <v>22</v>
      </c>
      <c r="G53" s="6" t="s">
        <v>119</v>
      </c>
      <c r="H53" s="12" t="s">
        <v>0</v>
      </c>
      <c r="I53" s="2">
        <v>2</v>
      </c>
      <c r="J53" s="2">
        <v>0</v>
      </c>
      <c r="K53" s="2">
        <v>5</v>
      </c>
      <c r="L53" s="2">
        <v>1</v>
      </c>
      <c r="M53" s="2">
        <v>1</v>
      </c>
      <c r="N53" s="2">
        <v>0</v>
      </c>
      <c r="O53" s="2">
        <v>8</v>
      </c>
      <c r="P53" s="2">
        <v>1</v>
      </c>
      <c r="Q53" s="2">
        <v>3</v>
      </c>
      <c r="R53" s="2">
        <v>1</v>
      </c>
      <c r="S53" s="2">
        <v>0</v>
      </c>
      <c r="T53" s="2">
        <v>3</v>
      </c>
      <c r="U53" s="2">
        <f t="shared" si="3"/>
        <v>25</v>
      </c>
      <c r="V53" s="2" t="s">
        <v>165</v>
      </c>
    </row>
    <row r="54" spans="1:22" x14ac:dyDescent="0.25">
      <c r="A54" s="18" t="str">
        <f>("210")</f>
        <v>210</v>
      </c>
      <c r="B54" s="5" t="str">
        <f>("47137")</f>
        <v>47137</v>
      </c>
      <c r="C54" s="6" t="s">
        <v>84</v>
      </c>
      <c r="D54" s="6" t="s">
        <v>85</v>
      </c>
      <c r="E54" s="6" t="s">
        <v>21</v>
      </c>
      <c r="F54" s="5" t="s">
        <v>22</v>
      </c>
      <c r="G54" s="6" t="s">
        <v>86</v>
      </c>
      <c r="H54" s="12" t="s">
        <v>87</v>
      </c>
      <c r="I54" s="2">
        <v>6</v>
      </c>
      <c r="J54" s="2">
        <v>0</v>
      </c>
      <c r="K54" s="2">
        <v>8</v>
      </c>
      <c r="L54" s="2">
        <v>4</v>
      </c>
      <c r="M54" s="2">
        <v>0</v>
      </c>
      <c r="N54" s="2">
        <v>1</v>
      </c>
      <c r="O54" s="2">
        <v>0</v>
      </c>
      <c r="P54" s="2">
        <v>2</v>
      </c>
      <c r="Q54" s="2">
        <v>8</v>
      </c>
      <c r="R54" s="2">
        <v>3</v>
      </c>
      <c r="S54" s="2">
        <v>1</v>
      </c>
      <c r="T54" s="2">
        <v>0</v>
      </c>
      <c r="U54" s="2">
        <f t="shared" si="3"/>
        <v>33</v>
      </c>
      <c r="V54" s="2" t="s">
        <v>166</v>
      </c>
    </row>
    <row r="55" spans="1:22" x14ac:dyDescent="0.25">
      <c r="A55" s="18" t="str">
        <f>("10")</f>
        <v>10</v>
      </c>
      <c r="B55" s="5" t="str">
        <f>("80215")</f>
        <v>80215</v>
      </c>
      <c r="C55" s="6" t="s">
        <v>19</v>
      </c>
      <c r="D55" s="6" t="s">
        <v>20</v>
      </c>
      <c r="E55" s="6" t="s">
        <v>21</v>
      </c>
      <c r="F55" s="5" t="s">
        <v>22</v>
      </c>
      <c r="G55" s="6" t="s">
        <v>23</v>
      </c>
      <c r="H55" s="12" t="s">
        <v>0</v>
      </c>
      <c r="I55" s="2">
        <v>6</v>
      </c>
      <c r="J55" s="2">
        <v>0</v>
      </c>
      <c r="K55" s="2">
        <v>4</v>
      </c>
      <c r="L55" s="2">
        <v>2</v>
      </c>
      <c r="M55" s="2">
        <v>3</v>
      </c>
      <c r="N55" s="2">
        <v>0</v>
      </c>
      <c r="O55" s="2">
        <v>3</v>
      </c>
      <c r="P55" s="2">
        <v>2</v>
      </c>
      <c r="Q55" s="2">
        <v>8</v>
      </c>
      <c r="R55" s="2">
        <v>9</v>
      </c>
      <c r="S55" s="2">
        <v>0</v>
      </c>
      <c r="T55" s="2">
        <v>0</v>
      </c>
      <c r="U55" s="2">
        <f t="shared" si="3"/>
        <v>37</v>
      </c>
      <c r="V55" s="2" t="s">
        <v>167</v>
      </c>
    </row>
    <row r="56" spans="1:22" x14ac:dyDescent="0.25">
      <c r="A56" s="18" t="str">
        <f>("105")</f>
        <v>105</v>
      </c>
      <c r="B56" s="5" t="str">
        <f>("132782")</f>
        <v>132782</v>
      </c>
      <c r="C56" s="6" t="s">
        <v>58</v>
      </c>
      <c r="D56" s="6" t="s">
        <v>59</v>
      </c>
      <c r="E56" s="6" t="s">
        <v>21</v>
      </c>
      <c r="F56" s="5" t="s">
        <v>22</v>
      </c>
      <c r="G56" s="6" t="s">
        <v>60</v>
      </c>
      <c r="H56" s="12" t="s">
        <v>34</v>
      </c>
      <c r="I56" s="2">
        <v>11</v>
      </c>
      <c r="J56" s="2">
        <v>0</v>
      </c>
      <c r="K56" s="2">
        <v>7</v>
      </c>
      <c r="L56" s="2">
        <v>2</v>
      </c>
      <c r="M56" s="2">
        <v>9</v>
      </c>
      <c r="N56" s="2">
        <v>1</v>
      </c>
      <c r="O56" s="2">
        <v>1</v>
      </c>
      <c r="P56" s="2">
        <v>5</v>
      </c>
      <c r="Q56" s="2">
        <v>7</v>
      </c>
      <c r="R56" s="2">
        <v>11</v>
      </c>
      <c r="S56" s="2">
        <v>0</v>
      </c>
      <c r="T56" s="2">
        <v>3</v>
      </c>
      <c r="U56" s="2">
        <f t="shared" si="3"/>
        <v>57</v>
      </c>
      <c r="V56" s="2" t="s">
        <v>168</v>
      </c>
    </row>
    <row r="57" spans="1:22" x14ac:dyDescent="0.25">
      <c r="A57" s="18" t="str">
        <f>("446")</f>
        <v>446</v>
      </c>
      <c r="B57" s="5" t="str">
        <f>("206213")</f>
        <v>206213</v>
      </c>
      <c r="C57" s="6" t="s">
        <v>140</v>
      </c>
      <c r="D57" s="6" t="s">
        <v>141</v>
      </c>
      <c r="E57" s="6" t="s">
        <v>21</v>
      </c>
      <c r="F57" s="5" t="s">
        <v>22</v>
      </c>
      <c r="G57" s="6" t="s">
        <v>142</v>
      </c>
      <c r="H57" s="12" t="s">
        <v>0</v>
      </c>
      <c r="I57" s="2">
        <v>6</v>
      </c>
      <c r="J57" s="2">
        <v>9</v>
      </c>
      <c r="K57" s="2">
        <v>6</v>
      </c>
      <c r="L57" s="2">
        <v>0</v>
      </c>
      <c r="M57" s="2">
        <v>7</v>
      </c>
      <c r="N57" s="2">
        <v>8</v>
      </c>
      <c r="O57" s="2">
        <v>7</v>
      </c>
      <c r="P57" s="2">
        <v>5</v>
      </c>
      <c r="Q57" s="2">
        <v>8</v>
      </c>
      <c r="R57" s="2">
        <v>9</v>
      </c>
      <c r="S57" s="2">
        <v>0</v>
      </c>
      <c r="T57" s="2">
        <v>3</v>
      </c>
      <c r="U57" s="2">
        <f t="shared" si="3"/>
        <v>68</v>
      </c>
      <c r="V57" s="2" t="s">
        <v>169</v>
      </c>
    </row>
    <row r="58" spans="1:22" x14ac:dyDescent="0.25">
      <c r="A58" s="18" t="str">
        <f>("61")</f>
        <v>61</v>
      </c>
      <c r="B58" s="5" t="str">
        <f>("27425")</f>
        <v>27425</v>
      </c>
      <c r="C58" s="6" t="s">
        <v>44</v>
      </c>
      <c r="D58" s="6" t="s">
        <v>45</v>
      </c>
      <c r="E58" s="6" t="s">
        <v>21</v>
      </c>
      <c r="F58" s="5" t="s">
        <v>22</v>
      </c>
      <c r="G58" s="6" t="s">
        <v>46</v>
      </c>
      <c r="H58" s="12" t="s">
        <v>0</v>
      </c>
      <c r="I58" s="2">
        <v>7</v>
      </c>
      <c r="J58" s="2">
        <v>15</v>
      </c>
      <c r="K58" s="2">
        <v>9</v>
      </c>
      <c r="L58" s="2">
        <v>0</v>
      </c>
      <c r="M58" s="2">
        <v>11</v>
      </c>
      <c r="N58" s="2">
        <v>7</v>
      </c>
      <c r="O58" s="2">
        <v>11</v>
      </c>
      <c r="P58" s="2">
        <v>9</v>
      </c>
      <c r="Q58" s="2">
        <v>9</v>
      </c>
      <c r="R58" s="2">
        <v>9</v>
      </c>
      <c r="S58" s="2">
        <v>0</v>
      </c>
      <c r="T58" s="2">
        <v>8</v>
      </c>
      <c r="U58" s="2">
        <f t="shared" si="3"/>
        <v>95</v>
      </c>
      <c r="V58" s="2" t="s">
        <v>170</v>
      </c>
    </row>
    <row r="59" spans="1:22" x14ac:dyDescent="0.25">
      <c r="A59" s="18"/>
      <c r="B59" s="5"/>
      <c r="C59" s="6"/>
      <c r="D59" s="6"/>
      <c r="E59" s="6"/>
      <c r="F59" s="5"/>
      <c r="G59" s="6"/>
      <c r="H59" s="1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x14ac:dyDescent="0.25">
      <c r="A60" s="18" t="str">
        <f>("242")</f>
        <v>242</v>
      </c>
      <c r="B60" s="5" t="str">
        <f>("200658")</f>
        <v>200658</v>
      </c>
      <c r="C60" s="6" t="s">
        <v>91</v>
      </c>
      <c r="D60" s="6" t="s">
        <v>92</v>
      </c>
      <c r="E60" s="6" t="s">
        <v>93</v>
      </c>
      <c r="F60" s="5" t="s">
        <v>22</v>
      </c>
      <c r="G60" s="6" t="s">
        <v>94</v>
      </c>
      <c r="H60" s="12" t="s">
        <v>0</v>
      </c>
      <c r="I60" s="2">
        <v>8</v>
      </c>
      <c r="J60" s="2">
        <v>8</v>
      </c>
      <c r="K60" s="2">
        <v>6</v>
      </c>
      <c r="L60" s="2">
        <v>5</v>
      </c>
      <c r="M60" s="2">
        <v>6</v>
      </c>
      <c r="N60" s="2">
        <v>5</v>
      </c>
      <c r="O60" s="2">
        <v>9</v>
      </c>
      <c r="P60" s="2">
        <v>7</v>
      </c>
      <c r="Q60" s="2">
        <v>6</v>
      </c>
      <c r="R60" s="2">
        <v>7</v>
      </c>
      <c r="S60" s="2">
        <v>8</v>
      </c>
      <c r="T60" s="2">
        <v>10</v>
      </c>
      <c r="U60" s="2">
        <f>SUM(I60:T60)</f>
        <v>85</v>
      </c>
      <c r="V60" s="2" t="s">
        <v>164</v>
      </c>
    </row>
    <row r="61" spans="1:22" x14ac:dyDescent="0.25">
      <c r="A61" s="18" t="str">
        <f>("402")</f>
        <v>402</v>
      </c>
      <c r="B61" s="5" t="str">
        <f>("147384")</f>
        <v>147384</v>
      </c>
      <c r="C61" s="6" t="s">
        <v>127</v>
      </c>
      <c r="D61" s="6" t="s">
        <v>128</v>
      </c>
      <c r="E61" s="6" t="s">
        <v>93</v>
      </c>
      <c r="F61" s="5" t="s">
        <v>22</v>
      </c>
      <c r="G61" s="6" t="s">
        <v>129</v>
      </c>
      <c r="H61" s="12" t="s">
        <v>0</v>
      </c>
      <c r="I61" s="2" t="s">
        <v>163</v>
      </c>
      <c r="J61" s="2" t="s">
        <v>163</v>
      </c>
      <c r="K61" s="2" t="s">
        <v>163</v>
      </c>
      <c r="L61" s="2" t="s">
        <v>163</v>
      </c>
      <c r="M61" s="2" t="s">
        <v>163</v>
      </c>
      <c r="N61" s="2" t="s">
        <v>163</v>
      </c>
      <c r="O61" s="2" t="s">
        <v>163</v>
      </c>
      <c r="P61" s="2" t="s">
        <v>163</v>
      </c>
      <c r="Q61" s="2" t="s">
        <v>163</v>
      </c>
      <c r="R61" s="2" t="s">
        <v>163</v>
      </c>
      <c r="S61" s="2" t="s">
        <v>163</v>
      </c>
      <c r="T61" s="2" t="s">
        <v>163</v>
      </c>
      <c r="U61" s="2" t="s">
        <v>163</v>
      </c>
      <c r="V61" s="2" t="s">
        <v>163</v>
      </c>
    </row>
    <row r="62" spans="1:22" x14ac:dyDescent="0.25">
      <c r="A62" s="18"/>
      <c r="B62" s="5"/>
      <c r="C62" s="6"/>
      <c r="D62" s="6"/>
      <c r="E62" s="6"/>
      <c r="F62" s="5"/>
      <c r="G62" s="6"/>
      <c r="H62" s="1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x14ac:dyDescent="0.25">
      <c r="A63" s="18" t="str">
        <f>("392")</f>
        <v>392</v>
      </c>
      <c r="B63" s="5" t="str">
        <f>("204151")</f>
        <v>204151</v>
      </c>
      <c r="C63" s="6" t="s">
        <v>123</v>
      </c>
      <c r="D63" s="6" t="s">
        <v>124</v>
      </c>
      <c r="E63" s="6" t="s">
        <v>161</v>
      </c>
      <c r="F63" s="5" t="s">
        <v>22</v>
      </c>
      <c r="G63" s="6" t="s">
        <v>90</v>
      </c>
      <c r="H63" s="12" t="s">
        <v>0</v>
      </c>
      <c r="I63" s="2">
        <v>3</v>
      </c>
      <c r="J63" s="2">
        <v>1</v>
      </c>
      <c r="K63" s="2">
        <v>4</v>
      </c>
      <c r="L63" s="2">
        <v>5</v>
      </c>
      <c r="M63" s="2">
        <v>0</v>
      </c>
      <c r="N63" s="2">
        <v>0</v>
      </c>
      <c r="O63" s="2">
        <v>0</v>
      </c>
      <c r="P63" s="2">
        <v>0</v>
      </c>
      <c r="Q63" s="2">
        <v>2</v>
      </c>
      <c r="R63" s="2">
        <v>7</v>
      </c>
      <c r="S63" s="2">
        <v>0</v>
      </c>
      <c r="T63" s="2">
        <v>0</v>
      </c>
      <c r="U63" s="2">
        <f>SUM(I63:T63)</f>
        <v>22</v>
      </c>
      <c r="V63" s="2" t="s">
        <v>164</v>
      </c>
    </row>
  </sheetData>
  <sortState xmlns:xlrd2="http://schemas.microsoft.com/office/spreadsheetml/2017/richdata2" ref="A8:V17">
    <sortCondition ref="U8:U17"/>
  </sortState>
  <mergeCells count="5">
    <mergeCell ref="C6:D6"/>
    <mergeCell ref="A1:V1"/>
    <mergeCell ref="A2:V2"/>
    <mergeCell ref="A3:V3"/>
    <mergeCell ref="A4:V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Wiseman</dc:creator>
  <cp:lastModifiedBy>Mike Wiseman</cp:lastModifiedBy>
  <dcterms:created xsi:type="dcterms:W3CDTF">2021-09-11T16:46:46Z</dcterms:created>
  <dcterms:modified xsi:type="dcterms:W3CDTF">2021-09-13T06:48:18Z</dcterms:modified>
</cp:coreProperties>
</file>